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yptc.sharepoint.com/sites/UNI31-UnitedWayofMonmouthandOceanCounties/Shared Documents/General/FY24 AUDIT/"/>
    </mc:Choice>
  </mc:AlternateContent>
  <xr:revisionPtr revIDLastSave="10" documentId="13_ncr:1_{139D248B-740C-472D-B5EE-F2F7EEEC37CC}" xr6:coauthVersionLast="47" xr6:coauthVersionMax="47" xr10:uidLastSave="{40A98EE7-724E-452D-A20B-7D9947B202E0}"/>
  <bookViews>
    <workbookView xWindow="-19310" yWindow="5640" windowWidth="19420" windowHeight="10300" xr2:uid="{B2E575CB-ABED-45BE-ABE2-74E093EE8751}"/>
  </bookViews>
  <sheets>
    <sheet name="Presentation" sheetId="1" r:id="rId1"/>
    <sheet name="Audit" sheetId="2" r:id="rId2"/>
    <sheet name="Audit (2)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2" l="1"/>
  <c r="K42" i="3" l="1"/>
  <c r="K41" i="3"/>
  <c r="K43" i="3" s="1"/>
  <c r="K38" i="3"/>
  <c r="B32" i="3"/>
  <c r="K30" i="3"/>
  <c r="F28" i="3"/>
  <c r="F26" i="3"/>
  <c r="C26" i="3"/>
  <c r="F25" i="3" s="1"/>
  <c r="F24" i="3"/>
  <c r="F23" i="3"/>
  <c r="K22" i="3"/>
  <c r="F22" i="3"/>
  <c r="B22" i="3"/>
  <c r="B23" i="3" s="1"/>
  <c r="B28" i="3" s="1"/>
  <c r="K19" i="3"/>
  <c r="K18" i="3"/>
  <c r="B16" i="3"/>
  <c r="B18" i="3" s="1"/>
  <c r="K14" i="3"/>
  <c r="K25" i="3" s="1"/>
  <c r="K13" i="3"/>
  <c r="K24" i="3" s="1"/>
  <c r="K11" i="3"/>
  <c r="F7" i="3"/>
  <c r="F6" i="3"/>
  <c r="F5" i="3"/>
  <c r="B5" i="3"/>
  <c r="K4" i="3"/>
  <c r="K12" i="3" s="1"/>
  <c r="F4" i="3"/>
  <c r="C4" i="3"/>
  <c r="F27" i="3" s="1"/>
  <c r="K3" i="3"/>
  <c r="C3" i="3"/>
  <c r="K42" i="2"/>
  <c r="K41" i="2"/>
  <c r="K43" i="2" s="1"/>
  <c r="K38" i="2"/>
  <c r="B32" i="2"/>
  <c r="F23" i="2" s="1"/>
  <c r="B13" i="1" s="1"/>
  <c r="K30" i="2"/>
  <c r="F26" i="2"/>
  <c r="B16" i="1" s="1"/>
  <c r="B15" i="1"/>
  <c r="F24" i="2"/>
  <c r="B14" i="1" s="1"/>
  <c r="K22" i="2"/>
  <c r="B22" i="2"/>
  <c r="K18" i="2"/>
  <c r="B16" i="2"/>
  <c r="C16" i="2" s="1"/>
  <c r="K14" i="2"/>
  <c r="K25" i="2" s="1"/>
  <c r="K13" i="2"/>
  <c r="K24" i="2" s="1"/>
  <c r="F7" i="2"/>
  <c r="B7" i="1" s="1"/>
  <c r="F6" i="2"/>
  <c r="B6" i="1" s="1"/>
  <c r="F5" i="2"/>
  <c r="B5" i="1" s="1"/>
  <c r="B5" i="2"/>
  <c r="K19" i="2" s="1"/>
  <c r="K4" i="2"/>
  <c r="K12" i="2" s="1"/>
  <c r="B4" i="1"/>
  <c r="C4" i="2"/>
  <c r="F27" i="2" s="1"/>
  <c r="B17" i="1" s="1"/>
  <c r="K3" i="2"/>
  <c r="K11" i="2" s="1"/>
  <c r="C3" i="2"/>
  <c r="B18" i="1"/>
  <c r="B36" i="3" l="1"/>
  <c r="K2" i="3"/>
  <c r="K7" i="3" s="1"/>
  <c r="G29" i="3"/>
  <c r="K40" i="3"/>
  <c r="B34" i="3"/>
  <c r="F21" i="3" s="1"/>
  <c r="B21" i="2"/>
  <c r="F22" i="2" s="1"/>
  <c r="B12" i="1" s="1"/>
  <c r="K40" i="2"/>
  <c r="B18" i="2"/>
  <c r="K31" i="3"/>
  <c r="K32" i="3" s="1"/>
  <c r="K23" i="3"/>
  <c r="K26" i="3" s="1"/>
  <c r="D18" i="3"/>
  <c r="F2" i="3"/>
  <c r="K31" i="2"/>
  <c r="K32" i="2" s="1"/>
  <c r="K23" i="2"/>
  <c r="K26" i="2" s="1"/>
  <c r="G29" i="2"/>
  <c r="K10" i="3" l="1"/>
  <c r="K15" i="3" s="1"/>
  <c r="L15" i="3" s="1"/>
  <c r="B23" i="2"/>
  <c r="B28" i="2" s="1"/>
  <c r="B34" i="2" s="1"/>
  <c r="F21" i="2" s="1"/>
  <c r="B19" i="1" s="1"/>
  <c r="F2" i="2"/>
  <c r="F3" i="2" s="1"/>
  <c r="K2" i="2"/>
  <c r="K10" i="2" s="1"/>
  <c r="K15" i="2" s="1"/>
  <c r="L15" i="2" s="1"/>
  <c r="D18" i="2"/>
  <c r="F3" i="3"/>
  <c r="G8" i="3" s="1"/>
  <c r="F36" i="3"/>
  <c r="C19" i="1" l="1"/>
  <c r="C15" i="1"/>
  <c r="C17" i="1"/>
  <c r="C13" i="1"/>
  <c r="C16" i="1"/>
  <c r="C18" i="1"/>
  <c r="C14" i="1"/>
  <c r="B36" i="2"/>
  <c r="C12" i="1"/>
  <c r="F36" i="2"/>
  <c r="K7" i="2"/>
  <c r="G8" i="2"/>
  <c r="B3" i="1"/>
  <c r="B8" i="1" l="1"/>
  <c r="C3" i="1" s="1"/>
  <c r="C8" i="1" l="1"/>
  <c r="C5" i="1"/>
  <c r="C7" i="1"/>
  <c r="C4" i="1"/>
  <c r="C6" i="1"/>
  <c r="B22" i="1"/>
</calcChain>
</file>

<file path=xl/sharedStrings.xml><?xml version="1.0" encoding="utf-8"?>
<sst xmlns="http://schemas.openxmlformats.org/spreadsheetml/2006/main" count="148" uniqueCount="67">
  <si>
    <t>Total Revenue</t>
  </si>
  <si>
    <t>Percentage</t>
  </si>
  <si>
    <t>Campaign</t>
  </si>
  <si>
    <t>Donations In Kind</t>
  </si>
  <si>
    <t>Special Events</t>
  </si>
  <si>
    <t>Grants</t>
  </si>
  <si>
    <t>Miscellaneous</t>
  </si>
  <si>
    <t>Total Expense</t>
  </si>
  <si>
    <t>Funds Distributed</t>
  </si>
  <si>
    <t>Support Services</t>
  </si>
  <si>
    <t>Community Services</t>
  </si>
  <si>
    <t>Volunteer Center</t>
  </si>
  <si>
    <t>Provision for Uncollectible</t>
  </si>
  <si>
    <t>990 Reconciliation</t>
  </si>
  <si>
    <t>Gross Campaign Results</t>
  </si>
  <si>
    <t>Total Revenue:</t>
  </si>
  <si>
    <t>Add Back Designations, Uncollectable, Event Costs</t>
  </si>
  <si>
    <t>Finanical Statements</t>
  </si>
  <si>
    <t>Less Donor Designations</t>
  </si>
  <si>
    <t xml:space="preserve"> </t>
  </si>
  <si>
    <t>Add  Back Investment Income</t>
  </si>
  <si>
    <t>Donations in Kind</t>
  </si>
  <si>
    <t>Add in Donated Space and Facilites</t>
  </si>
  <si>
    <t>Campaign Contributions Revenue</t>
  </si>
  <si>
    <t>Add in Donated Special Events</t>
  </si>
  <si>
    <t>Add Back Designations</t>
  </si>
  <si>
    <t>Government Grant Revenue</t>
  </si>
  <si>
    <t>Other Income</t>
  </si>
  <si>
    <t>Page 1 990 Gross Receipts</t>
  </si>
  <si>
    <t>Grant Income</t>
  </si>
  <si>
    <t>Special Events, direct costs</t>
  </si>
  <si>
    <t>Desig from other Uws</t>
  </si>
  <si>
    <t>Service fees</t>
  </si>
  <si>
    <t>Investment Income</t>
  </si>
  <si>
    <t>Real/Unreal Gains</t>
  </si>
  <si>
    <t>Misc revenue</t>
  </si>
  <si>
    <t>Total Other Revenue</t>
  </si>
  <si>
    <t>See Special Event Worksheet</t>
  </si>
  <si>
    <t>Total Revenue, gains, support</t>
  </si>
  <si>
    <t>Government Grants</t>
  </si>
  <si>
    <t>Other Grants</t>
  </si>
  <si>
    <t>Gross funds awarded</t>
  </si>
  <si>
    <t>Total Expenses:</t>
  </si>
  <si>
    <t>Other Designations to UW</t>
  </si>
  <si>
    <t>less donor designations</t>
  </si>
  <si>
    <t>Funds Dist</t>
  </si>
  <si>
    <t>Net funds awarded</t>
  </si>
  <si>
    <t>Support</t>
  </si>
  <si>
    <t>Comm Serv</t>
  </si>
  <si>
    <t>VC</t>
  </si>
  <si>
    <t>GIK</t>
  </si>
  <si>
    <t>Vol Ctr</t>
  </si>
  <si>
    <t>Energy Assist</t>
  </si>
  <si>
    <t>`</t>
  </si>
  <si>
    <t>Gift of Warmth</t>
  </si>
  <si>
    <t>Prov for Uncollect</t>
  </si>
  <si>
    <t>total program services</t>
  </si>
  <si>
    <t xml:space="preserve">Admin </t>
  </si>
  <si>
    <t>In Kind</t>
  </si>
  <si>
    <t>Fundraising</t>
  </si>
  <si>
    <t>Donated Space</t>
  </si>
  <si>
    <t>total supporting</t>
  </si>
  <si>
    <t>total expenses</t>
  </si>
  <si>
    <t>check</t>
  </si>
  <si>
    <t>Put GIK in Campaign</t>
  </si>
  <si>
    <t>2024</t>
  </si>
  <si>
    <t xml:space="preserve">Net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</si>
</sst>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i/>
      <u val="singleAccounting"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164" fontId="0" fillId="0" borderId="0" xfId="2" applyNumberFormat="1" applyFont="1"/>
    <xf numFmtId="164" fontId="0" fillId="0" borderId="1" xfId="2" applyNumberFormat="1" applyFont="1" applyBorder="1"/>
    <xf numFmtId="164" fontId="0" fillId="0" borderId="0" xfId="0" applyNumberFormat="1"/>
    <xf numFmtId="43" fontId="0" fillId="0" borderId="0" xfId="1" applyFont="1" applyFill="1"/>
    <xf numFmtId="43" fontId="0" fillId="0" borderId="0" xfId="1" applyFont="1"/>
    <xf numFmtId="43" fontId="2" fillId="0" borderId="2" xfId="1" applyFont="1" applyBorder="1"/>
    <xf numFmtId="43" fontId="0" fillId="0" borderId="0" xfId="1" applyFont="1" applyAlignment="1">
      <alignment vertical="center"/>
    </xf>
    <xf numFmtId="43" fontId="3" fillId="0" borderId="0" xfId="1" applyFont="1" applyFill="1"/>
    <xf numFmtId="43" fontId="0" fillId="0" borderId="2" xfId="1" applyFont="1" applyBorder="1"/>
    <xf numFmtId="43" fontId="0" fillId="0" borderId="1" xfId="1" applyFont="1" applyFill="1" applyBorder="1"/>
    <xf numFmtId="43" fontId="0" fillId="2" borderId="0" xfId="1" applyFont="1" applyFill="1"/>
    <xf numFmtId="43" fontId="0" fillId="3" borderId="0" xfId="1" applyFont="1" applyFill="1"/>
    <xf numFmtId="43" fontId="0" fillId="4" borderId="3" xfId="1" applyFont="1" applyFill="1" applyBorder="1" applyAlignment="1">
      <alignment vertical="center"/>
    </xf>
    <xf numFmtId="43" fontId="0" fillId="5" borderId="0" xfId="1" applyFont="1" applyFill="1"/>
    <xf numFmtId="43" fontId="0" fillId="4" borderId="3" xfId="1" applyFont="1" applyFill="1" applyBorder="1"/>
    <xf numFmtId="43" fontId="0" fillId="6" borderId="0" xfId="1" applyFont="1" applyFill="1"/>
    <xf numFmtId="43" fontId="0" fillId="4" borderId="0" xfId="1" applyFont="1" applyFill="1" applyAlignment="1">
      <alignment vertical="center"/>
    </xf>
    <xf numFmtId="43" fontId="0" fillId="7" borderId="0" xfId="1" applyFont="1" applyFill="1" applyAlignment="1">
      <alignment vertical="center"/>
    </xf>
    <xf numFmtId="43" fontId="0" fillId="8" borderId="0" xfId="1" applyFont="1" applyFill="1"/>
    <xf numFmtId="43" fontId="0" fillId="8" borderId="1" xfId="1" applyFont="1" applyFill="1" applyBorder="1"/>
    <xf numFmtId="43" fontId="0" fillId="6" borderId="4" xfId="1" applyFont="1" applyFill="1" applyBorder="1" applyAlignment="1">
      <alignment vertical="center"/>
    </xf>
    <xf numFmtId="43" fontId="0" fillId="9" borderId="4" xfId="1" applyFont="1" applyFill="1" applyBorder="1" applyAlignment="1">
      <alignment vertical="center"/>
    </xf>
    <xf numFmtId="43" fontId="0" fillId="0" borderId="2" xfId="1" applyFont="1" applyFill="1" applyBorder="1"/>
    <xf numFmtId="43" fontId="0" fillId="0" borderId="0" xfId="1" applyFont="1" applyFill="1" applyAlignment="1">
      <alignment horizontal="center"/>
    </xf>
    <xf numFmtId="43" fontId="0" fillId="0" borderId="4" xfId="1" applyFont="1" applyBorder="1" applyAlignment="1">
      <alignment vertical="center"/>
    </xf>
    <xf numFmtId="43" fontId="0" fillId="0" borderId="0" xfId="1" applyFont="1" applyFill="1" applyBorder="1"/>
    <xf numFmtId="43" fontId="0" fillId="4" borderId="0" xfId="1" applyFont="1" applyFill="1"/>
    <xf numFmtId="43" fontId="0" fillId="0" borderId="1" xfId="1" applyFont="1" applyBorder="1" applyAlignment="1">
      <alignment vertical="center"/>
    </xf>
    <xf numFmtId="43" fontId="0" fillId="6" borderId="3" xfId="1" applyFont="1" applyFill="1" applyBorder="1"/>
    <xf numFmtId="43" fontId="0" fillId="6" borderId="0" xfId="1" applyFont="1" applyFill="1" applyAlignment="1">
      <alignment vertical="center"/>
    </xf>
    <xf numFmtId="43" fontId="0" fillId="0" borderId="0" xfId="1" applyFont="1" applyFill="1" applyAlignment="1">
      <alignment vertical="center"/>
    </xf>
    <xf numFmtId="43" fontId="0" fillId="0" borderId="3" xfId="1" applyFont="1" applyFill="1" applyBorder="1"/>
    <xf numFmtId="9" fontId="0" fillId="0" borderId="0" xfId="3" applyFont="1"/>
    <xf numFmtId="0" fontId="4" fillId="0" borderId="0" xfId="1" quotePrefix="1" applyNumberFormat="1" applyFont="1" applyFill="1" applyAlignment="1">
      <alignment horizontal="center"/>
    </xf>
    <xf numFmtId="164" fontId="5" fillId="0" borderId="0" xfId="0" applyNumberFormat="1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Expense - $2,272,144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40E-420E-A36E-602080FDF7C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40E-420E-A36E-602080FDF7C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40E-420E-A36E-602080FDF7C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40E-420E-A36E-602080FDF7C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40E-420E-A36E-602080FDF7C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40E-420E-A36E-602080FDF7CD}"/>
              </c:ext>
            </c:extLst>
          </c:dPt>
          <c:dLbls>
            <c:dLbl>
              <c:idx val="0"/>
              <c:layout>
                <c:manualLayout>
                  <c:x val="2.7450047156361724E-2"/>
                  <c:y val="2.89843977836108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0E-420E-A36E-602080FDF7CD}"/>
                </c:ext>
              </c:extLst>
            </c:dLbl>
            <c:dLbl>
              <c:idx val="1"/>
              <c:layout>
                <c:manualLayout>
                  <c:x val="-7.932138705503038E-3"/>
                  <c:y val="2.1751239428404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0E-420E-A36E-602080FDF7CD}"/>
                </c:ext>
              </c:extLst>
            </c:dLbl>
            <c:dLbl>
              <c:idx val="2"/>
              <c:layout>
                <c:manualLayout>
                  <c:x val="-7.6127914372820385E-3"/>
                  <c:y val="-7.592629046369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0E-420E-A36E-602080FDF7CD}"/>
                </c:ext>
              </c:extLst>
            </c:dLbl>
            <c:dLbl>
              <c:idx val="3"/>
              <c:layout>
                <c:manualLayout>
                  <c:x val="6.3587051618547684E-3"/>
                  <c:y val="1.741105278506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40E-420E-A36E-602080FDF7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Presentation!$A$12:$A$18</c15:sqref>
                  </c15:fullRef>
                </c:ext>
              </c:extLst>
              <c:f>Presentation!$A$12:$A$17</c:f>
              <c:strCache>
                <c:ptCount val="6"/>
                <c:pt idx="0">
                  <c:v>Funds Distributed</c:v>
                </c:pt>
                <c:pt idx="1">
                  <c:v>Support Services</c:v>
                </c:pt>
                <c:pt idx="2">
                  <c:v>Community Services</c:v>
                </c:pt>
                <c:pt idx="3">
                  <c:v>Volunteer Center</c:v>
                </c:pt>
                <c:pt idx="4">
                  <c:v>Gift of Warmth</c:v>
                </c:pt>
                <c:pt idx="5">
                  <c:v>Provision for Uncollectible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Presentation!$B$12:$B$18</c15:sqref>
                  </c15:fullRef>
                </c:ext>
              </c:extLst>
              <c:f>Presentation!$B$12:$B$17</c:f>
              <c:numCache>
                <c:formatCode>_("$"* #,##0_);_("$"* \(#,##0\);_("$"* "-"??_);_(@_)</c:formatCode>
                <c:ptCount val="6"/>
                <c:pt idx="0">
                  <c:v>440599</c:v>
                </c:pt>
                <c:pt idx="1">
                  <c:v>620852</c:v>
                </c:pt>
                <c:pt idx="2">
                  <c:v>386134</c:v>
                </c:pt>
                <c:pt idx="3">
                  <c:v>636959</c:v>
                </c:pt>
                <c:pt idx="4">
                  <c:v>128639</c:v>
                </c:pt>
                <c:pt idx="5">
                  <c:v>58961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Presentation!$B$18</c15:sqref>
                  <c15:spPr xmlns:c15="http://schemas.microsoft.com/office/drawing/2012/chart"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E-040E-420E-A36E-602080FDF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7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Revenue - $2,280,047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E37-4999-B58B-27374CB28D9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E37-4999-B58B-27374CB28D9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E37-4999-B58B-27374CB28D9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E37-4999-B58B-27374CB28D9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E37-4999-B58B-27374CB28D9E}"/>
              </c:ext>
            </c:extLst>
          </c:dPt>
          <c:dLbls>
            <c:dLbl>
              <c:idx val="0"/>
              <c:layout>
                <c:manualLayout>
                  <c:x val="0.18783027121609799"/>
                  <c:y val="-3.2372047244094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37-4999-B58B-27374CB28D9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37-4999-B58B-27374CB28D9E}"/>
                </c:ext>
              </c:extLst>
            </c:dLbl>
            <c:dLbl>
              <c:idx val="2"/>
              <c:layout>
                <c:manualLayout>
                  <c:x val="-7.5096237970253719E-3"/>
                  <c:y val="-3.847170110447603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37-4999-B58B-27374CB28D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Presentation!$A$3:$A$7</c:f>
              <c:strCache>
                <c:ptCount val="5"/>
                <c:pt idx="0">
                  <c:v>Campaign</c:v>
                </c:pt>
                <c:pt idx="1">
                  <c:v>Donations In Kind</c:v>
                </c:pt>
                <c:pt idx="2">
                  <c:v>Special Events</c:v>
                </c:pt>
                <c:pt idx="3">
                  <c:v>Grants</c:v>
                </c:pt>
                <c:pt idx="4">
                  <c:v>Miscellaneous</c:v>
                </c:pt>
              </c:strCache>
            </c:strRef>
          </c:cat>
          <c:val>
            <c:numRef>
              <c:f>Presentation!$B$3:$B$7</c:f>
              <c:numCache>
                <c:formatCode>_("$"* #,##0_);_("$"* \(#,##0\);_("$"* "-"??_);_(@_)</c:formatCode>
                <c:ptCount val="5"/>
                <c:pt idx="0">
                  <c:v>1526628</c:v>
                </c:pt>
                <c:pt idx="1">
                  <c:v>0</c:v>
                </c:pt>
                <c:pt idx="2">
                  <c:v>332796</c:v>
                </c:pt>
                <c:pt idx="3">
                  <c:v>364002</c:v>
                </c:pt>
                <c:pt idx="4">
                  <c:v>56621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E37-4999-B58B-27374CB28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29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403225</xdr:colOff>
      <xdr:row>17</xdr:row>
      <xdr:rowOff>38100</xdr:rowOff>
    </xdr:from>
    <xdr:to>
      <xdr:col>11</xdr:col>
      <xdr:colOff>85725</xdr:colOff>
      <xdr:row>32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4E59056-23F4-49DB-85B6-F1C174E3A7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387350</xdr:colOff>
      <xdr:row>1</xdr:row>
      <xdr:rowOff>139700</xdr:rowOff>
    </xdr:from>
    <xdr:to>
      <xdr:col>11</xdr:col>
      <xdr:colOff>82550</xdr:colOff>
      <xdr:row>16</xdr:row>
      <xdr:rowOff>120650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DB79E70-6284-4F0F-BD4E-BE3B932436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E3E0E-5AC4-4728-9C0D-E11E07783A9F}">
  <sheetPr>
    <pageSetUpPr fitToPage="1"/>
  </sheetPr>
  <dimension ref="A2:C22"/>
  <sheetViews>
    <sheetView tabSelected="1" workbookViewId="0">
      <selection activeCell="B18" sqref="B18"/>
    </sheetView>
  </sheetViews>
  <sheetFormatPr defaultRowHeight="14.5" x14ac:dyDescent="0.35"/>
  <cols>
    <col min="1" max="1" width="24.81640625" bestFit="1" customWidth="1"/>
    <col min="2" max="2" width="13.54296875" bestFit="1" customWidth="1"/>
    <col min="3" max="3" width="11" style="33" bestFit="1" customWidth="1"/>
  </cols>
  <sheetData>
    <row r="2" spans="1:3" x14ac:dyDescent="0.35">
      <c r="A2" t="s">
        <v>0</v>
      </c>
      <c r="B2" s="1"/>
      <c r="C2" s="33" t="s">
        <v>1</v>
      </c>
    </row>
    <row r="3" spans="1:3" x14ac:dyDescent="0.35">
      <c r="A3" t="s">
        <v>2</v>
      </c>
      <c r="B3" s="1">
        <f>Audit!F3</f>
        <v>1526628</v>
      </c>
      <c r="C3" s="33">
        <f>+B3/$B$8</f>
        <v>0.66955988187962789</v>
      </c>
    </row>
    <row r="4" spans="1:3" x14ac:dyDescent="0.35">
      <c r="A4" t="s">
        <v>3</v>
      </c>
      <c r="B4" s="1">
        <f>Audit!F4</f>
        <v>0</v>
      </c>
      <c r="C4" s="33">
        <f t="shared" ref="C4:C8" si="0">+B4/$B$8</f>
        <v>0</v>
      </c>
    </row>
    <row r="5" spans="1:3" x14ac:dyDescent="0.35">
      <c r="A5" t="s">
        <v>4</v>
      </c>
      <c r="B5" s="1">
        <f>Audit!F5</f>
        <v>332796</v>
      </c>
      <c r="C5" s="33">
        <f t="shared" si="0"/>
        <v>0.14596014906710256</v>
      </c>
    </row>
    <row r="6" spans="1:3" x14ac:dyDescent="0.35">
      <c r="A6" t="s">
        <v>5</v>
      </c>
      <c r="B6" s="1">
        <f>Audit!F6</f>
        <v>364002</v>
      </c>
      <c r="C6" s="33">
        <f t="shared" si="0"/>
        <v>0.15964670903713826</v>
      </c>
    </row>
    <row r="7" spans="1:3" x14ac:dyDescent="0.35">
      <c r="A7" t="s">
        <v>6</v>
      </c>
      <c r="B7" s="2">
        <f>Audit!F7</f>
        <v>56621</v>
      </c>
      <c r="C7" s="33">
        <f t="shared" si="0"/>
        <v>2.4833260016131245E-2</v>
      </c>
    </row>
    <row r="8" spans="1:3" x14ac:dyDescent="0.35">
      <c r="B8" s="1">
        <f>SUM(B3:B7)</f>
        <v>2280047</v>
      </c>
      <c r="C8" s="33">
        <f t="shared" si="0"/>
        <v>1</v>
      </c>
    </row>
    <row r="11" spans="1:3" x14ac:dyDescent="0.35">
      <c r="A11" t="s">
        <v>7</v>
      </c>
    </row>
    <row r="12" spans="1:3" x14ac:dyDescent="0.35">
      <c r="A12" t="s">
        <v>8</v>
      </c>
      <c r="B12" s="1">
        <f>Audit!F22</f>
        <v>440599</v>
      </c>
      <c r="C12" s="33">
        <f>+B12/$B$19</f>
        <v>0.19391332591596308</v>
      </c>
    </row>
    <row r="13" spans="1:3" x14ac:dyDescent="0.35">
      <c r="A13" t="s">
        <v>9</v>
      </c>
      <c r="B13" s="1">
        <f>Audit!F23</f>
        <v>620852</v>
      </c>
      <c r="C13" s="33">
        <f t="shared" ref="C13:C19" si="1">+B13/$B$19</f>
        <v>0.27324500559823672</v>
      </c>
    </row>
    <row r="14" spans="1:3" x14ac:dyDescent="0.35">
      <c r="A14" t="s">
        <v>10</v>
      </c>
      <c r="B14" s="1">
        <f>Audit!F24</f>
        <v>386134</v>
      </c>
      <c r="C14" s="33">
        <f t="shared" si="1"/>
        <v>0.16994257406220734</v>
      </c>
    </row>
    <row r="15" spans="1:3" x14ac:dyDescent="0.35">
      <c r="A15" t="s">
        <v>11</v>
      </c>
      <c r="B15" s="1">
        <f>Audit!F25</f>
        <v>636959</v>
      </c>
      <c r="C15" s="33">
        <f t="shared" si="1"/>
        <v>0.2803339048933518</v>
      </c>
    </row>
    <row r="16" spans="1:3" x14ac:dyDescent="0.35">
      <c r="A16" t="s">
        <v>54</v>
      </c>
      <c r="B16" s="1">
        <f>Audit!F26</f>
        <v>128639</v>
      </c>
      <c r="C16" s="33">
        <f t="shared" si="1"/>
        <v>5.6615689850643268E-2</v>
      </c>
    </row>
    <row r="17" spans="1:3" x14ac:dyDescent="0.35">
      <c r="A17" t="s">
        <v>12</v>
      </c>
      <c r="B17" s="1">
        <f>Audit!F27</f>
        <v>58961</v>
      </c>
      <c r="C17" s="33">
        <f t="shared" si="1"/>
        <v>2.5949499679597771E-2</v>
      </c>
    </row>
    <row r="18" spans="1:3" x14ac:dyDescent="0.35">
      <c r="B18" s="2">
        <f>Audit!F28</f>
        <v>0</v>
      </c>
      <c r="C18" s="33">
        <f t="shared" si="1"/>
        <v>0</v>
      </c>
    </row>
    <row r="19" spans="1:3" x14ac:dyDescent="0.35">
      <c r="B19" s="35">
        <f>Audit!F21</f>
        <v>2272144</v>
      </c>
      <c r="C19" s="33">
        <f t="shared" si="1"/>
        <v>1</v>
      </c>
    </row>
    <row r="22" spans="1:3" x14ac:dyDescent="0.35">
      <c r="A22" t="s">
        <v>66</v>
      </c>
      <c r="B22" s="3">
        <f>B8-B19</f>
        <v>7903</v>
      </c>
    </row>
  </sheetData>
  <pageMargins left="0.7" right="0.7" top="0.75" bottom="0.75" header="0.3" footer="0.3"/>
  <pageSetup scale="9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7BD61-5D3C-4C43-833B-D727DD011BDF}">
  <dimension ref="A1:P43"/>
  <sheetViews>
    <sheetView workbookViewId="0">
      <selection activeCell="H23" sqref="H23"/>
    </sheetView>
  </sheetViews>
  <sheetFormatPr defaultRowHeight="15" customHeight="1" x14ac:dyDescent="0.35"/>
  <cols>
    <col min="1" max="1" width="28.26953125" bestFit="1" customWidth="1"/>
    <col min="2" max="3" width="13.26953125" style="5" bestFit="1" customWidth="1"/>
    <col min="4" max="4" width="12.26953125" style="5" bestFit="1" customWidth="1"/>
    <col min="5" max="5" width="20" style="5" customWidth="1"/>
    <col min="6" max="7" width="13.26953125" style="5" bestFit="1" customWidth="1"/>
    <col min="8" max="8" width="9.1796875" style="5"/>
    <col min="9" max="9" width="23.1796875" style="5" customWidth="1"/>
    <col min="10" max="10" width="25.26953125" style="9" bestFit="1" customWidth="1"/>
    <col min="11" max="11" width="18.54296875" style="7" bestFit="1" customWidth="1"/>
    <col min="12" max="12" width="12.26953125" style="5" bestFit="1" customWidth="1"/>
  </cols>
  <sheetData>
    <row r="1" spans="1:16" ht="15" customHeight="1" x14ac:dyDescent="0.5">
      <c r="B1" s="34" t="s">
        <v>65</v>
      </c>
      <c r="C1" s="4"/>
      <c r="D1" s="4"/>
      <c r="E1" s="4"/>
      <c r="F1" s="4"/>
      <c r="G1" s="4"/>
      <c r="J1" s="6" t="s">
        <v>13</v>
      </c>
    </row>
    <row r="2" spans="1:16" ht="15" customHeight="1" x14ac:dyDescent="0.5">
      <c r="A2" t="s">
        <v>14</v>
      </c>
      <c r="B2" s="4">
        <v>1258306</v>
      </c>
      <c r="C2" s="4"/>
      <c r="D2" s="4"/>
      <c r="E2" s="8" t="s">
        <v>15</v>
      </c>
      <c r="F2" s="4">
        <f>B18+C3+C4+C9</f>
        <v>2280047</v>
      </c>
      <c r="G2" s="4" t="s">
        <v>16</v>
      </c>
      <c r="J2" s="9" t="s">
        <v>17</v>
      </c>
      <c r="K2" s="7">
        <f>+B18</f>
        <v>1634769</v>
      </c>
      <c r="M2" s="5"/>
      <c r="N2" s="5"/>
      <c r="O2" s="5"/>
      <c r="P2" s="5"/>
    </row>
    <row r="3" spans="1:16" ht="15" customHeight="1" x14ac:dyDescent="0.35">
      <c r="A3" t="s">
        <v>18</v>
      </c>
      <c r="B3" s="4">
        <v>-440599</v>
      </c>
      <c r="C3" s="4">
        <f>-B3</f>
        <v>440599</v>
      </c>
      <c r="D3" s="4"/>
      <c r="E3" s="4" t="s">
        <v>2</v>
      </c>
      <c r="F3" s="4">
        <f>F2-F5-F6-F7</f>
        <v>1526628</v>
      </c>
      <c r="G3" s="4" t="s">
        <v>19</v>
      </c>
      <c r="K3" s="7">
        <f>-B14</f>
        <v>0</v>
      </c>
      <c r="L3" s="5" t="s">
        <v>20</v>
      </c>
      <c r="M3" s="5"/>
      <c r="N3" s="5"/>
      <c r="O3" s="5"/>
      <c r="P3" s="5"/>
    </row>
    <row r="4" spans="1:16" ht="15" customHeight="1" x14ac:dyDescent="0.35">
      <c r="A4" t="s">
        <v>12</v>
      </c>
      <c r="B4" s="10">
        <v>-58961</v>
      </c>
      <c r="C4" s="4">
        <f>-B4</f>
        <v>58961</v>
      </c>
      <c r="D4" s="4"/>
      <c r="E4" s="4" t="s">
        <v>21</v>
      </c>
      <c r="F4" s="4">
        <v>0</v>
      </c>
      <c r="G4" s="4" t="s">
        <v>64</v>
      </c>
      <c r="K4" s="7">
        <f>22985</f>
        <v>22985</v>
      </c>
      <c r="L4" s="5" t="s">
        <v>22</v>
      </c>
      <c r="M4" s="5"/>
      <c r="N4" s="5"/>
      <c r="O4" s="5"/>
      <c r="P4" s="5"/>
    </row>
    <row r="5" spans="1:16" ht="15" customHeight="1" x14ac:dyDescent="0.35">
      <c r="A5" t="s">
        <v>23</v>
      </c>
      <c r="B5" s="4">
        <f>SUM(B2:B4)</f>
        <v>758746</v>
      </c>
      <c r="C5" s="4"/>
      <c r="D5" s="4"/>
      <c r="E5" s="4" t="s">
        <v>4</v>
      </c>
      <c r="F5" s="4">
        <f>B9+C9</f>
        <v>332796</v>
      </c>
      <c r="G5" s="4"/>
      <c r="K5" s="7">
        <v>20988</v>
      </c>
      <c r="L5" s="5" t="s">
        <v>24</v>
      </c>
      <c r="M5" s="5"/>
      <c r="N5" s="5"/>
      <c r="O5" s="5"/>
      <c r="P5" s="5"/>
    </row>
    <row r="6" spans="1:16" ht="15" customHeight="1" x14ac:dyDescent="0.35">
      <c r="B6" s="4"/>
      <c r="C6" s="4"/>
      <c r="D6" s="4"/>
      <c r="E6" s="4" t="s">
        <v>5</v>
      </c>
      <c r="F6" s="4">
        <f>B7+B8</f>
        <v>364002</v>
      </c>
      <c r="G6" s="4"/>
      <c r="K6" s="7">
        <v>606982</v>
      </c>
      <c r="L6" s="5" t="s">
        <v>25</v>
      </c>
      <c r="M6" s="5"/>
      <c r="N6" s="5"/>
      <c r="O6" s="5"/>
      <c r="P6" s="5"/>
    </row>
    <row r="7" spans="1:16" ht="15" customHeight="1" thickBot="1" x14ac:dyDescent="0.4">
      <c r="A7" t="s">
        <v>26</v>
      </c>
      <c r="B7" s="4">
        <v>292502</v>
      </c>
      <c r="C7" s="4"/>
      <c r="D7" s="4"/>
      <c r="E7" s="4" t="s">
        <v>27</v>
      </c>
      <c r="F7" s="4">
        <f>B12+B13+B14+B15</f>
        <v>56621</v>
      </c>
      <c r="G7" s="4"/>
      <c r="J7" s="5" t="s">
        <v>28</v>
      </c>
      <c r="K7" s="13">
        <f>SUM(K2:K6)</f>
        <v>2285724</v>
      </c>
      <c r="M7" s="5"/>
      <c r="N7" s="5"/>
      <c r="O7" s="5"/>
      <c r="P7" s="5"/>
    </row>
    <row r="8" spans="1:16" ht="15" customHeight="1" thickTop="1" thickBot="1" x14ac:dyDescent="0.4">
      <c r="A8" t="s">
        <v>29</v>
      </c>
      <c r="B8" s="4">
        <v>71500</v>
      </c>
      <c r="C8" s="4"/>
      <c r="D8" s="4"/>
      <c r="E8" s="4"/>
      <c r="F8" s="4"/>
      <c r="G8" s="15">
        <f>SUM(F3:F7)</f>
        <v>2280047</v>
      </c>
      <c r="K8" s="7">
        <v>2409044</v>
      </c>
      <c r="L8" s="5" t="s">
        <v>19</v>
      </c>
      <c r="M8" s="5"/>
      <c r="N8" s="5"/>
      <c r="O8" s="5"/>
      <c r="P8" s="5"/>
    </row>
    <row r="9" spans="1:16" ht="15" customHeight="1" thickTop="1" x14ac:dyDescent="0.35">
      <c r="A9" t="s">
        <v>30</v>
      </c>
      <c r="B9" s="4">
        <v>187078</v>
      </c>
      <c r="C9" s="4">
        <v>145718</v>
      </c>
      <c r="D9" s="4"/>
      <c r="E9" s="4"/>
      <c r="F9" s="4"/>
      <c r="G9" s="4" t="s">
        <v>19</v>
      </c>
      <c r="M9" s="5"/>
      <c r="N9" s="5"/>
      <c r="O9" s="5"/>
      <c r="P9" s="5"/>
    </row>
    <row r="10" spans="1:16" ht="15" customHeight="1" thickBot="1" x14ac:dyDescent="0.4">
      <c r="A10" t="s">
        <v>31</v>
      </c>
      <c r="B10" s="31">
        <v>38714</v>
      </c>
      <c r="C10" s="4"/>
      <c r="D10" s="4"/>
      <c r="E10" s="4"/>
      <c r="F10" s="4"/>
      <c r="G10" s="4" t="s">
        <v>19</v>
      </c>
      <c r="K10" s="13">
        <f>++K2</f>
        <v>1634769</v>
      </c>
      <c r="O10" s="5"/>
      <c r="P10" s="5"/>
    </row>
    <row r="11" spans="1:16" ht="15" customHeight="1" thickTop="1" x14ac:dyDescent="0.35">
      <c r="A11" t="s">
        <v>3</v>
      </c>
      <c r="B11" s="31">
        <v>229608</v>
      </c>
      <c r="C11" s="4"/>
      <c r="D11" s="4" t="s">
        <v>19</v>
      </c>
      <c r="E11" s="4"/>
      <c r="F11" s="4"/>
      <c r="G11" s="4"/>
      <c r="K11" s="7">
        <f>K3</f>
        <v>0</v>
      </c>
      <c r="O11" s="5"/>
      <c r="P11" s="5"/>
    </row>
    <row r="12" spans="1:16" ht="15" customHeight="1" x14ac:dyDescent="0.35">
      <c r="A12" t="s">
        <v>32</v>
      </c>
      <c r="B12" s="4">
        <v>19705</v>
      </c>
      <c r="C12" s="4"/>
      <c r="D12" s="4" t="s">
        <v>19</v>
      </c>
      <c r="E12" s="4"/>
      <c r="F12" s="4"/>
      <c r="G12" s="4"/>
      <c r="K12" s="7">
        <f>-K4</f>
        <v>-22985</v>
      </c>
      <c r="O12" s="5"/>
      <c r="P12" s="5"/>
    </row>
    <row r="13" spans="1:16" ht="15" customHeight="1" x14ac:dyDescent="0.35">
      <c r="A13" t="s">
        <v>33</v>
      </c>
      <c r="B13" s="4">
        <v>31926</v>
      </c>
      <c r="C13" s="4"/>
      <c r="D13" s="4" t="s">
        <v>19</v>
      </c>
      <c r="E13" s="4"/>
      <c r="F13" s="4"/>
      <c r="G13" s="4"/>
      <c r="K13" s="7">
        <f>-K5</f>
        <v>-20988</v>
      </c>
      <c r="O13" s="5"/>
      <c r="P13" s="5"/>
    </row>
    <row r="14" spans="1:16" ht="15" customHeight="1" x14ac:dyDescent="0.35">
      <c r="A14" t="s">
        <v>34</v>
      </c>
      <c r="B14" s="4">
        <v>0</v>
      </c>
      <c r="C14" s="4"/>
      <c r="D14" s="4"/>
      <c r="E14" s="4"/>
      <c r="F14" s="4"/>
      <c r="G14" s="4"/>
      <c r="K14" s="7">
        <f>+K6</f>
        <v>606982</v>
      </c>
      <c r="O14" s="5"/>
      <c r="P14" s="5"/>
    </row>
    <row r="15" spans="1:16" ht="15" customHeight="1" thickBot="1" x14ac:dyDescent="0.4">
      <c r="A15" t="s">
        <v>35</v>
      </c>
      <c r="B15" s="10">
        <v>4990</v>
      </c>
      <c r="C15" s="4"/>
      <c r="D15" s="4"/>
      <c r="E15" s="4"/>
      <c r="F15" s="4"/>
      <c r="G15" s="4"/>
      <c r="K15" s="13">
        <f>SUM(K10:K14)</f>
        <v>2197778</v>
      </c>
      <c r="L15" s="5">
        <f>2409044-K15</f>
        <v>211266</v>
      </c>
      <c r="O15" s="5"/>
      <c r="P15" s="5"/>
    </row>
    <row r="16" spans="1:16" ht="15" customHeight="1" thickTop="1" x14ac:dyDescent="0.35">
      <c r="A16" t="s">
        <v>36</v>
      </c>
      <c r="B16" s="4">
        <f>SUM(B7:B15)</f>
        <v>876023</v>
      </c>
      <c r="C16" s="4">
        <f>876023-B16</f>
        <v>0</v>
      </c>
      <c r="D16" s="4"/>
      <c r="E16" s="4"/>
      <c r="F16" s="4"/>
      <c r="G16" s="4"/>
      <c r="O16" s="5"/>
      <c r="P16" s="5"/>
    </row>
    <row r="17" spans="1:16" ht="15" customHeight="1" thickBot="1" x14ac:dyDescent="0.4">
      <c r="B17" s="4"/>
      <c r="C17" s="4"/>
      <c r="D17" s="4"/>
      <c r="E17" s="4"/>
      <c r="F17" s="4"/>
      <c r="G17" s="4"/>
      <c r="K17" s="21">
        <v>52488</v>
      </c>
      <c r="L17" s="5" t="s">
        <v>37</v>
      </c>
      <c r="M17" s="5"/>
      <c r="O17" s="5"/>
      <c r="P17" s="5"/>
    </row>
    <row r="18" spans="1:16" ht="15" customHeight="1" thickBot="1" x14ac:dyDescent="0.4">
      <c r="A18" t="s">
        <v>38</v>
      </c>
      <c r="B18" s="32">
        <f>B16+B5</f>
        <v>1634769</v>
      </c>
      <c r="C18" s="4">
        <v>1634769</v>
      </c>
      <c r="D18" s="4">
        <f>+B18-C18</f>
        <v>0</v>
      </c>
      <c r="E18" s="4"/>
      <c r="F18" s="4"/>
      <c r="G18" s="4"/>
      <c r="K18" s="22">
        <f>+B7</f>
        <v>292502</v>
      </c>
      <c r="L18" s="5" t="s">
        <v>39</v>
      </c>
      <c r="M18" s="5"/>
      <c r="O18" s="5"/>
      <c r="P18" s="5"/>
    </row>
    <row r="19" spans="1:16" ht="15" customHeight="1" thickTop="1" x14ac:dyDescent="0.35">
      <c r="B19" s="4"/>
      <c r="C19" s="4"/>
      <c r="D19" s="4"/>
      <c r="E19" s="4"/>
      <c r="F19" s="4"/>
      <c r="G19" s="4"/>
      <c r="J19" s="23"/>
      <c r="K19" s="11">
        <f>B5</f>
        <v>758746</v>
      </c>
      <c r="L19" s="5" t="s">
        <v>2</v>
      </c>
      <c r="M19" s="5"/>
    </row>
    <row r="20" spans="1:16" ht="15" customHeight="1" x14ac:dyDescent="0.35">
      <c r="B20" s="4"/>
      <c r="C20" s="4"/>
      <c r="D20" s="4"/>
      <c r="E20" s="4"/>
      <c r="F20" s="4"/>
      <c r="G20" s="4"/>
      <c r="J20" s="23"/>
      <c r="K20" s="14">
        <v>63500</v>
      </c>
      <c r="L20" s="5" t="s">
        <v>40</v>
      </c>
      <c r="M20" s="5"/>
    </row>
    <row r="21" spans="1:16" ht="15" customHeight="1" x14ac:dyDescent="0.5">
      <c r="A21" t="s">
        <v>41</v>
      </c>
      <c r="B21" s="4">
        <f>-B22</f>
        <v>440599</v>
      </c>
      <c r="C21" s="4"/>
      <c r="D21" s="4"/>
      <c r="E21" s="8" t="s">
        <v>42</v>
      </c>
      <c r="F21" s="4">
        <f>B34+C3+C4+C9</f>
        <v>2272144</v>
      </c>
      <c r="G21" s="4"/>
      <c r="J21" s="23"/>
      <c r="K21" s="17">
        <v>132166</v>
      </c>
      <c r="L21" s="5" t="s">
        <v>43</v>
      </c>
    </row>
    <row r="22" spans="1:16" ht="15" customHeight="1" x14ac:dyDescent="0.35">
      <c r="A22" t="s">
        <v>44</v>
      </c>
      <c r="B22" s="10">
        <f>B3</f>
        <v>-440599</v>
      </c>
      <c r="C22" s="4"/>
      <c r="D22" s="4"/>
      <c r="E22" s="4" t="s">
        <v>45</v>
      </c>
      <c r="F22" s="4">
        <f>B21</f>
        <v>440599</v>
      </c>
      <c r="G22" s="4"/>
      <c r="K22" s="7">
        <f>+B11</f>
        <v>229608</v>
      </c>
    </row>
    <row r="23" spans="1:16" ht="15" customHeight="1" x14ac:dyDescent="0.35">
      <c r="A23" t="s">
        <v>46</v>
      </c>
      <c r="B23" s="4">
        <f>SUM(B21:B22)</f>
        <v>0</v>
      </c>
      <c r="C23" s="4"/>
      <c r="D23" s="4"/>
      <c r="E23" s="4" t="s">
        <v>47</v>
      </c>
      <c r="F23" s="4">
        <f>B32+C9</f>
        <v>620852</v>
      </c>
      <c r="G23" s="4"/>
      <c r="K23" s="7">
        <f>+K12</f>
        <v>-22985</v>
      </c>
    </row>
    <row r="24" spans="1:16" ht="15" customHeight="1" x14ac:dyDescent="0.35">
      <c r="B24" s="4"/>
      <c r="C24" s="4"/>
      <c r="D24" s="4"/>
      <c r="E24" s="4" t="s">
        <v>48</v>
      </c>
      <c r="F24" s="4">
        <f>B25</f>
        <v>386134</v>
      </c>
      <c r="G24" s="4"/>
      <c r="K24" s="7">
        <f>+K13</f>
        <v>-20988</v>
      </c>
    </row>
    <row r="25" spans="1:16" ht="15" customHeight="1" x14ac:dyDescent="0.35">
      <c r="A25" t="s">
        <v>48</v>
      </c>
      <c r="B25" s="4">
        <v>386134</v>
      </c>
      <c r="C25" s="24"/>
      <c r="D25" s="24"/>
      <c r="E25" s="4" t="s">
        <v>51</v>
      </c>
      <c r="F25" s="4">
        <f>B26</f>
        <v>636959</v>
      </c>
      <c r="G25" s="4"/>
      <c r="K25" s="7">
        <f>+K14</f>
        <v>606982</v>
      </c>
    </row>
    <row r="26" spans="1:16" ht="15" customHeight="1" thickBot="1" x14ac:dyDescent="0.4">
      <c r="A26" t="s">
        <v>51</v>
      </c>
      <c r="B26" s="4">
        <v>636959</v>
      </c>
      <c r="C26" s="4"/>
      <c r="D26" s="4"/>
      <c r="E26" s="4" t="s">
        <v>52</v>
      </c>
      <c r="F26" s="4">
        <f>B27</f>
        <v>128639</v>
      </c>
      <c r="G26" s="4"/>
      <c r="K26" s="25">
        <f>SUM(K19:K25)</f>
        <v>1747029</v>
      </c>
      <c r="O26" t="s">
        <v>53</v>
      </c>
    </row>
    <row r="27" spans="1:16" ht="15" customHeight="1" thickBot="1" x14ac:dyDescent="0.4">
      <c r="A27" t="s">
        <v>54</v>
      </c>
      <c r="B27" s="10">
        <v>128639</v>
      </c>
      <c r="C27" s="4"/>
      <c r="D27" s="4"/>
      <c r="E27" s="4" t="s">
        <v>55</v>
      </c>
      <c r="F27" s="4">
        <f>C4</f>
        <v>58961</v>
      </c>
      <c r="G27" s="4"/>
      <c r="K27" s="25">
        <v>1915831</v>
      </c>
    </row>
    <row r="28" spans="1:16" ht="15" customHeight="1" x14ac:dyDescent="0.35">
      <c r="A28" t="s">
        <v>56</v>
      </c>
      <c r="B28" s="26">
        <f>SUM(B23:B27)</f>
        <v>1151732</v>
      </c>
      <c r="C28" s="4"/>
      <c r="D28" s="4"/>
      <c r="E28" s="4"/>
      <c r="F28" s="4"/>
      <c r="G28" s="4"/>
      <c r="H28" s="4"/>
      <c r="I28" s="4"/>
      <c r="K28" s="9"/>
    </row>
    <row r="29" spans="1:16" ht="15" customHeight="1" thickBot="1" x14ac:dyDescent="0.4">
      <c r="B29" s="4"/>
      <c r="C29" s="4"/>
      <c r="D29" s="4"/>
      <c r="E29" s="4"/>
      <c r="F29" s="4"/>
      <c r="G29" s="15">
        <f>SUM(F22:F28)</f>
        <v>2272144</v>
      </c>
      <c r="N29" s="5"/>
    </row>
    <row r="30" spans="1:16" ht="15" customHeight="1" thickTop="1" x14ac:dyDescent="0.35">
      <c r="A30" t="s">
        <v>57</v>
      </c>
      <c r="B30" s="4">
        <v>190434</v>
      </c>
      <c r="C30" s="4"/>
      <c r="D30" s="4"/>
      <c r="E30" s="4"/>
      <c r="F30" s="4"/>
      <c r="G30" s="4"/>
      <c r="K30" s="18">
        <f>+B11</f>
        <v>229608</v>
      </c>
      <c r="L30" s="5" t="s">
        <v>58</v>
      </c>
      <c r="N30" s="5"/>
    </row>
    <row r="31" spans="1:16" ht="15" customHeight="1" x14ac:dyDescent="0.35">
      <c r="A31" t="s">
        <v>59</v>
      </c>
      <c r="B31" s="10">
        <v>284700</v>
      </c>
      <c r="C31" s="4"/>
      <c r="D31" s="4"/>
      <c r="E31" s="4"/>
      <c r="F31" s="4"/>
      <c r="G31" s="4" t="s">
        <v>19</v>
      </c>
      <c r="K31" s="28">
        <f>+K12</f>
        <v>-22985</v>
      </c>
      <c r="L31" s="5" t="s">
        <v>60</v>
      </c>
      <c r="N31" s="5"/>
    </row>
    <row r="32" spans="1:16" ht="15" customHeight="1" x14ac:dyDescent="0.35">
      <c r="A32" t="s">
        <v>61</v>
      </c>
      <c r="B32" s="4">
        <f>SUM(B30:B31)</f>
        <v>475134</v>
      </c>
      <c r="C32" s="4"/>
      <c r="D32" s="4"/>
      <c r="E32" s="4"/>
      <c r="F32" s="4"/>
      <c r="G32" s="4" t="s">
        <v>19</v>
      </c>
      <c r="K32" s="7">
        <f>+K31+K30</f>
        <v>206623</v>
      </c>
      <c r="N32" s="5"/>
    </row>
    <row r="33" spans="1:14" ht="15" customHeight="1" x14ac:dyDescent="0.35">
      <c r="F33" s="4"/>
      <c r="N33" s="5"/>
    </row>
    <row r="34" spans="1:14" ht="15" customHeight="1" thickBot="1" x14ac:dyDescent="0.4">
      <c r="A34" t="s">
        <v>62</v>
      </c>
      <c r="B34" s="15">
        <f>B28+B32</f>
        <v>1626866</v>
      </c>
      <c r="K34" s="19">
        <v>635</v>
      </c>
    </row>
    <row r="35" spans="1:14" ht="15" customHeight="1" thickTop="1" x14ac:dyDescent="0.35">
      <c r="K35" s="19">
        <v>17326</v>
      </c>
    </row>
    <row r="36" spans="1:14" ht="15" customHeight="1" thickBot="1" x14ac:dyDescent="0.4">
      <c r="A36" t="s">
        <v>63</v>
      </c>
      <c r="B36" s="29">
        <f>+B18-B34</f>
        <v>7903</v>
      </c>
      <c r="F36" s="29">
        <f>+F2-F21</f>
        <v>7903</v>
      </c>
      <c r="K36" s="30">
        <v>124174</v>
      </c>
    </row>
    <row r="37" spans="1:14" ht="15" customHeight="1" thickTop="1" x14ac:dyDescent="0.35">
      <c r="K37" s="19">
        <v>7517</v>
      </c>
    </row>
    <row r="38" spans="1:14" ht="15" customHeight="1" thickBot="1" x14ac:dyDescent="0.4">
      <c r="K38" s="25">
        <f>+SUM(K35:K37)</f>
        <v>149017</v>
      </c>
    </row>
    <row r="39" spans="1:14" ht="15" customHeight="1" x14ac:dyDescent="0.35">
      <c r="K39" s="31"/>
    </row>
    <row r="40" spans="1:14" ht="15" customHeight="1" thickBot="1" x14ac:dyDescent="0.4">
      <c r="K40" s="13">
        <f>+K38+K34+K27+K18+K17</f>
        <v>2410473</v>
      </c>
    </row>
    <row r="41" spans="1:14" ht="15" customHeight="1" thickTop="1" x14ac:dyDescent="0.35">
      <c r="K41" s="7">
        <f>2315664</f>
        <v>2315664</v>
      </c>
    </row>
    <row r="42" spans="1:14" ht="15" customHeight="1" x14ac:dyDescent="0.35">
      <c r="K42" s="7">
        <f>2409044</f>
        <v>2409044</v>
      </c>
    </row>
    <row r="43" spans="1:14" ht="15" customHeight="1" x14ac:dyDescent="0.35">
      <c r="K43" s="7">
        <f>+K41-K42</f>
        <v>-93380</v>
      </c>
    </row>
  </sheetData>
  <pageMargins left="0.7" right="0.7" top="0.75" bottom="0.75" header="0.3" footer="0.3"/>
  <pageSetup orientation="portrait" r:id="rId1"/>
  <ignoredErrors>
    <ignoredError sqref="B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3083D-4F6F-4509-A1A1-895571C7951A}">
  <dimension ref="A1:P43"/>
  <sheetViews>
    <sheetView workbookViewId="0">
      <selection activeCell="B30" sqref="B30"/>
    </sheetView>
  </sheetViews>
  <sheetFormatPr defaultRowHeight="15" customHeight="1" x14ac:dyDescent="0.35"/>
  <cols>
    <col min="1" max="1" width="28.26953125" bestFit="1" customWidth="1"/>
    <col min="2" max="3" width="13.26953125" style="5" bestFit="1" customWidth="1"/>
    <col min="4" max="4" width="11.54296875" style="5" bestFit="1" customWidth="1"/>
    <col min="5" max="5" width="20" style="5" customWidth="1"/>
    <col min="6" max="7" width="13.26953125" style="5" bestFit="1" customWidth="1"/>
    <col min="8" max="8" width="9.1796875" style="5"/>
    <col min="9" max="9" width="23.1796875" style="5" customWidth="1"/>
    <col min="10" max="10" width="25.26953125" style="9" bestFit="1" customWidth="1"/>
    <col min="11" max="11" width="18.54296875" style="7" bestFit="1" customWidth="1"/>
    <col min="12" max="12" width="12.26953125" style="5" bestFit="1" customWidth="1"/>
  </cols>
  <sheetData>
    <row r="1" spans="1:16" ht="15" customHeight="1" x14ac:dyDescent="0.5">
      <c r="B1" s="4"/>
      <c r="C1" s="4"/>
      <c r="D1" s="4"/>
      <c r="E1" s="4"/>
      <c r="F1" s="4"/>
      <c r="G1" s="4"/>
      <c r="J1" s="6" t="s">
        <v>13</v>
      </c>
    </row>
    <row r="2" spans="1:16" ht="15" customHeight="1" x14ac:dyDescent="0.5">
      <c r="A2" t="s">
        <v>14</v>
      </c>
      <c r="B2" s="4">
        <v>1583315</v>
      </c>
      <c r="C2" s="4"/>
      <c r="D2" s="4"/>
      <c r="E2" s="8" t="s">
        <v>15</v>
      </c>
      <c r="F2" s="4">
        <f>B18+C3+C4+C9</f>
        <v>2414039</v>
      </c>
      <c r="G2" s="4" t="s">
        <v>16</v>
      </c>
      <c r="J2" s="9" t="s">
        <v>17</v>
      </c>
      <c r="K2" s="7">
        <f>+B18</f>
        <v>1658224</v>
      </c>
      <c r="M2" s="5"/>
      <c r="N2" s="5"/>
      <c r="O2" s="5"/>
      <c r="P2" s="5"/>
    </row>
    <row r="3" spans="1:16" ht="15" customHeight="1" x14ac:dyDescent="0.35">
      <c r="A3" t="s">
        <v>18</v>
      </c>
      <c r="B3" s="4">
        <v>-606982</v>
      </c>
      <c r="C3" s="4">
        <f>-B3</f>
        <v>606982</v>
      </c>
      <c r="D3" s="4"/>
      <c r="E3" s="4" t="s">
        <v>2</v>
      </c>
      <c r="F3" s="4">
        <f>F2-SUM(F4:F7)</f>
        <v>1715481</v>
      </c>
      <c r="G3" s="4" t="s">
        <v>19</v>
      </c>
      <c r="K3" s="7">
        <f>-B14</f>
        <v>94431</v>
      </c>
      <c r="L3" s="5" t="s">
        <v>20</v>
      </c>
      <c r="M3" s="5"/>
      <c r="N3" s="5"/>
      <c r="O3" s="5"/>
      <c r="P3" s="5"/>
    </row>
    <row r="4" spans="1:16" ht="15" customHeight="1" x14ac:dyDescent="0.35">
      <c r="A4" t="s">
        <v>12</v>
      </c>
      <c r="B4" s="10">
        <v>-76441</v>
      </c>
      <c r="C4" s="4">
        <f>-B4</f>
        <v>76441</v>
      </c>
      <c r="D4" s="4"/>
      <c r="E4" s="4" t="s">
        <v>21</v>
      </c>
      <c r="F4" s="4">
        <f>B11</f>
        <v>257264</v>
      </c>
      <c r="G4" s="4"/>
      <c r="K4" s="7">
        <f>22985</f>
        <v>22985</v>
      </c>
      <c r="L4" s="5" t="s">
        <v>22</v>
      </c>
      <c r="M4" s="5"/>
      <c r="N4" s="5"/>
      <c r="O4" s="5"/>
      <c r="P4" s="5"/>
    </row>
    <row r="5" spans="1:16" ht="15" customHeight="1" x14ac:dyDescent="0.35">
      <c r="A5" t="s">
        <v>23</v>
      </c>
      <c r="B5" s="11">
        <f>SUM(B2:B4)</f>
        <v>899892</v>
      </c>
      <c r="C5" s="4"/>
      <c r="D5" s="4"/>
      <c r="E5" s="4" t="s">
        <v>4</v>
      </c>
      <c r="F5" s="4">
        <f>B9+C9</f>
        <v>249054</v>
      </c>
      <c r="G5" s="4"/>
      <c r="K5" s="7">
        <v>20988</v>
      </c>
      <c r="L5" s="5" t="s">
        <v>24</v>
      </c>
      <c r="M5" s="5"/>
      <c r="N5" s="5"/>
      <c r="O5" s="5"/>
      <c r="P5" s="5"/>
    </row>
    <row r="6" spans="1:16" ht="15" customHeight="1" x14ac:dyDescent="0.35">
      <c r="B6" s="4"/>
      <c r="C6" s="4"/>
      <c r="D6" s="4"/>
      <c r="E6" s="4" t="s">
        <v>5</v>
      </c>
      <c r="F6" s="4">
        <f>B7+B8</f>
        <v>261193</v>
      </c>
      <c r="G6" s="4"/>
      <c r="K6" s="7">
        <v>606982</v>
      </c>
      <c r="L6" s="5" t="s">
        <v>25</v>
      </c>
      <c r="M6" s="5"/>
      <c r="N6" s="5"/>
      <c r="O6" s="5"/>
      <c r="P6" s="5"/>
    </row>
    <row r="7" spans="1:16" ht="15" customHeight="1" thickBot="1" x14ac:dyDescent="0.4">
      <c r="A7" t="s">
        <v>26</v>
      </c>
      <c r="B7" s="12">
        <v>197693</v>
      </c>
      <c r="C7" s="4"/>
      <c r="D7" s="4"/>
      <c r="E7" s="4" t="s">
        <v>27</v>
      </c>
      <c r="F7" s="4">
        <f>B12+B13+B14+B15</f>
        <v>-68953</v>
      </c>
      <c r="G7" s="4"/>
      <c r="J7" s="5" t="s">
        <v>28</v>
      </c>
      <c r="K7" s="13">
        <f>SUM(K2:K6)</f>
        <v>2403610</v>
      </c>
      <c r="M7" s="5"/>
      <c r="N7" s="5"/>
      <c r="O7" s="5"/>
      <c r="P7" s="5"/>
    </row>
    <row r="8" spans="1:16" ht="15" customHeight="1" thickTop="1" thickBot="1" x14ac:dyDescent="0.4">
      <c r="A8" t="s">
        <v>29</v>
      </c>
      <c r="B8" s="14">
        <v>63500</v>
      </c>
      <c r="C8" s="4"/>
      <c r="D8" s="4"/>
      <c r="E8" s="4"/>
      <c r="F8" s="4"/>
      <c r="G8" s="15">
        <f>SUM(F3:F7)</f>
        <v>2414039</v>
      </c>
      <c r="K8" s="7">
        <v>2409044</v>
      </c>
      <c r="L8" s="5" t="s">
        <v>19</v>
      </c>
      <c r="M8" s="5"/>
      <c r="N8" s="5"/>
      <c r="O8" s="5"/>
      <c r="P8" s="5"/>
    </row>
    <row r="9" spans="1:16" ht="15" customHeight="1" thickTop="1" x14ac:dyDescent="0.35">
      <c r="A9" t="s">
        <v>30</v>
      </c>
      <c r="B9" s="16">
        <v>176662</v>
      </c>
      <c r="C9" s="4">
        <v>72392</v>
      </c>
      <c r="D9" s="4"/>
      <c r="E9" s="4"/>
      <c r="F9" s="4"/>
      <c r="G9" s="4" t="s">
        <v>19</v>
      </c>
      <c r="M9" s="5"/>
      <c r="N9" s="5"/>
      <c r="O9" s="5"/>
      <c r="P9" s="5"/>
    </row>
    <row r="10" spans="1:16" ht="15" customHeight="1" thickBot="1" x14ac:dyDescent="0.4">
      <c r="A10" t="s">
        <v>31</v>
      </c>
      <c r="B10" s="17">
        <v>132166</v>
      </c>
      <c r="C10" s="4"/>
      <c r="D10" s="4"/>
      <c r="E10" s="4"/>
      <c r="F10" s="4"/>
      <c r="G10" s="4" t="s">
        <v>19</v>
      </c>
      <c r="K10" s="13">
        <f>++K2</f>
        <v>1658224</v>
      </c>
      <c r="O10" s="5"/>
      <c r="P10" s="5"/>
    </row>
    <row r="11" spans="1:16" ht="15" customHeight="1" thickTop="1" x14ac:dyDescent="0.35">
      <c r="A11" t="s">
        <v>3</v>
      </c>
      <c r="B11" s="18">
        <v>257264</v>
      </c>
      <c r="C11" s="4"/>
      <c r="D11" s="4" t="s">
        <v>19</v>
      </c>
      <c r="E11" s="4"/>
      <c r="F11" s="4"/>
      <c r="G11" s="4"/>
      <c r="K11" s="7">
        <f>K3</f>
        <v>94431</v>
      </c>
      <c r="O11" s="5"/>
      <c r="P11" s="5"/>
    </row>
    <row r="12" spans="1:16" ht="15" customHeight="1" x14ac:dyDescent="0.35">
      <c r="A12" t="s">
        <v>32</v>
      </c>
      <c r="B12" s="19">
        <v>635</v>
      </c>
      <c r="C12" s="4"/>
      <c r="D12" s="4" t="s">
        <v>19</v>
      </c>
      <c r="E12" s="4"/>
      <c r="F12" s="4"/>
      <c r="G12" s="4"/>
      <c r="K12" s="7">
        <f>-K4</f>
        <v>-22985</v>
      </c>
      <c r="O12" s="5"/>
      <c r="P12" s="5"/>
    </row>
    <row r="13" spans="1:16" ht="15" customHeight="1" x14ac:dyDescent="0.35">
      <c r="A13" t="s">
        <v>33</v>
      </c>
      <c r="B13" s="19">
        <v>17326</v>
      </c>
      <c r="C13" s="4"/>
      <c r="D13" s="4" t="s">
        <v>19</v>
      </c>
      <c r="E13" s="4"/>
      <c r="F13" s="4"/>
      <c r="G13" s="4"/>
      <c r="K13" s="7">
        <f>-K5</f>
        <v>-20988</v>
      </c>
      <c r="O13" s="5"/>
      <c r="P13" s="5"/>
    </row>
    <row r="14" spans="1:16" ht="15" customHeight="1" x14ac:dyDescent="0.35">
      <c r="A14" t="s">
        <v>34</v>
      </c>
      <c r="B14" s="4">
        <v>-94431</v>
      </c>
      <c r="C14" s="4"/>
      <c r="D14" s="4"/>
      <c r="E14" s="4"/>
      <c r="F14" s="4"/>
      <c r="G14" s="4"/>
      <c r="K14" s="7">
        <f>+K6</f>
        <v>606982</v>
      </c>
      <c r="O14" s="5"/>
      <c r="P14" s="5"/>
    </row>
    <row r="15" spans="1:16" ht="15" customHeight="1" thickBot="1" x14ac:dyDescent="0.4">
      <c r="A15" t="s">
        <v>35</v>
      </c>
      <c r="B15" s="20">
        <v>7517</v>
      </c>
      <c r="C15" s="4"/>
      <c r="D15" s="4"/>
      <c r="E15" s="4"/>
      <c r="F15" s="4"/>
      <c r="G15" s="4"/>
      <c r="K15" s="13">
        <f>SUM(K10:K14)</f>
        <v>2315664</v>
      </c>
      <c r="L15" s="5">
        <f>2409044-K15</f>
        <v>93380</v>
      </c>
      <c r="O15" s="5"/>
      <c r="P15" s="5"/>
    </row>
    <row r="16" spans="1:16" ht="15" customHeight="1" thickTop="1" x14ac:dyDescent="0.35">
      <c r="A16" t="s">
        <v>36</v>
      </c>
      <c r="B16" s="4">
        <f>SUM(B7:B15)</f>
        <v>758332</v>
      </c>
      <c r="C16" s="4"/>
      <c r="D16" s="4"/>
      <c r="E16" s="4"/>
      <c r="F16" s="4"/>
      <c r="G16" s="4"/>
      <c r="O16" s="5"/>
      <c r="P16" s="5"/>
    </row>
    <row r="17" spans="1:16" ht="15" customHeight="1" thickBot="1" x14ac:dyDescent="0.4">
      <c r="B17" s="4"/>
      <c r="C17" s="4"/>
      <c r="D17" s="4"/>
      <c r="E17" s="4"/>
      <c r="F17" s="4"/>
      <c r="G17" s="4"/>
      <c r="K17" s="21">
        <v>52488</v>
      </c>
      <c r="L17" s="5" t="s">
        <v>37</v>
      </c>
      <c r="M17" s="5"/>
      <c r="O17" s="5"/>
      <c r="P17" s="5"/>
    </row>
    <row r="18" spans="1:16" ht="15" customHeight="1" thickBot="1" x14ac:dyDescent="0.4">
      <c r="A18" t="s">
        <v>38</v>
      </c>
      <c r="B18" s="15">
        <f>B16+B5</f>
        <v>1658224</v>
      </c>
      <c r="C18" s="4">
        <v>1752655</v>
      </c>
      <c r="D18" s="4">
        <f>+B18-C18</f>
        <v>-94431</v>
      </c>
      <c r="E18" s="4"/>
      <c r="F18" s="4"/>
      <c r="G18" s="4"/>
      <c r="K18" s="22">
        <f>+B7</f>
        <v>197693</v>
      </c>
      <c r="L18" s="5" t="s">
        <v>39</v>
      </c>
      <c r="M18" s="5"/>
      <c r="O18" s="5"/>
      <c r="P18" s="5"/>
    </row>
    <row r="19" spans="1:16" ht="15" customHeight="1" thickTop="1" x14ac:dyDescent="0.35">
      <c r="B19" s="4"/>
      <c r="C19" s="4"/>
      <c r="D19" s="4"/>
      <c r="E19" s="4"/>
      <c r="F19" s="4"/>
      <c r="G19" s="4"/>
      <c r="J19" s="23"/>
      <c r="K19" s="11">
        <f>B5</f>
        <v>899892</v>
      </c>
      <c r="L19" s="5" t="s">
        <v>2</v>
      </c>
      <c r="M19" s="5"/>
    </row>
    <row r="20" spans="1:16" ht="15" customHeight="1" x14ac:dyDescent="0.35">
      <c r="B20" s="4"/>
      <c r="C20" s="4"/>
      <c r="D20" s="4"/>
      <c r="E20" s="4"/>
      <c r="F20" s="4"/>
      <c r="G20" s="4"/>
      <c r="J20" s="23"/>
      <c r="K20" s="14">
        <v>63500</v>
      </c>
      <c r="L20" s="5" t="s">
        <v>40</v>
      </c>
      <c r="M20" s="5"/>
    </row>
    <row r="21" spans="1:16" ht="15" customHeight="1" x14ac:dyDescent="0.5">
      <c r="A21" t="s">
        <v>41</v>
      </c>
      <c r="B21" s="4">
        <v>937717</v>
      </c>
      <c r="C21" s="4"/>
      <c r="D21" s="4"/>
      <c r="E21" s="8" t="s">
        <v>42</v>
      </c>
      <c r="F21" s="4">
        <f>B34+C3+C4+C9</f>
        <v>2575229</v>
      </c>
      <c r="G21" s="4"/>
      <c r="J21" s="23"/>
      <c r="K21" s="17">
        <v>132166</v>
      </c>
      <c r="L21" s="5" t="s">
        <v>43</v>
      </c>
    </row>
    <row r="22" spans="1:16" ht="15" customHeight="1" x14ac:dyDescent="0.35">
      <c r="A22" t="s">
        <v>44</v>
      </c>
      <c r="B22" s="10">
        <f>B3</f>
        <v>-606982</v>
      </c>
      <c r="C22" s="4"/>
      <c r="D22" s="4"/>
      <c r="E22" s="4" t="s">
        <v>45</v>
      </c>
      <c r="F22" s="4">
        <f>B21</f>
        <v>937717</v>
      </c>
      <c r="G22" s="4"/>
      <c r="K22" s="7">
        <f>+B11</f>
        <v>257264</v>
      </c>
    </row>
    <row r="23" spans="1:16" ht="15" customHeight="1" x14ac:dyDescent="0.35">
      <c r="A23" t="s">
        <v>46</v>
      </c>
      <c r="B23" s="4">
        <f>SUM(B21:B22)</f>
        <v>330735</v>
      </c>
      <c r="C23" s="4"/>
      <c r="D23" s="4"/>
      <c r="E23" s="4" t="s">
        <v>47</v>
      </c>
      <c r="F23" s="4">
        <f>B32+C9</f>
        <v>636753</v>
      </c>
      <c r="G23" s="4"/>
      <c r="K23" s="7">
        <f>+K12</f>
        <v>-22985</v>
      </c>
    </row>
    <row r="24" spans="1:16" ht="15" customHeight="1" x14ac:dyDescent="0.35">
      <c r="B24" s="4"/>
      <c r="C24" s="4"/>
      <c r="D24" s="4"/>
      <c r="E24" s="4" t="s">
        <v>48</v>
      </c>
      <c r="F24" s="4">
        <f>B25</f>
        <v>311811</v>
      </c>
      <c r="G24" s="4"/>
      <c r="K24" s="7">
        <f>+K13</f>
        <v>-20988</v>
      </c>
    </row>
    <row r="25" spans="1:16" ht="15" customHeight="1" x14ac:dyDescent="0.35">
      <c r="A25" t="s">
        <v>48</v>
      </c>
      <c r="B25" s="4">
        <v>311811</v>
      </c>
      <c r="C25" s="24" t="s">
        <v>49</v>
      </c>
      <c r="D25" s="24" t="s">
        <v>50</v>
      </c>
      <c r="E25" s="4" t="s">
        <v>51</v>
      </c>
      <c r="F25" s="4">
        <f>C26</f>
        <v>277359</v>
      </c>
      <c r="G25" s="4"/>
      <c r="K25" s="7">
        <f>+K14</f>
        <v>606982</v>
      </c>
    </row>
    <row r="26" spans="1:16" ht="15" customHeight="1" thickBot="1" x14ac:dyDescent="0.4">
      <c r="A26" t="s">
        <v>51</v>
      </c>
      <c r="B26" s="4">
        <v>476033</v>
      </c>
      <c r="C26" s="4">
        <f>B26-D26</f>
        <v>277359</v>
      </c>
      <c r="D26" s="4">
        <v>198674</v>
      </c>
      <c r="E26" s="4" t="s">
        <v>52</v>
      </c>
      <c r="F26" s="4">
        <f>B27</f>
        <v>136474</v>
      </c>
      <c r="G26" s="4"/>
      <c r="K26" s="25">
        <f>SUM(K19:K25)</f>
        <v>1915831</v>
      </c>
      <c r="O26" t="s">
        <v>53</v>
      </c>
    </row>
    <row r="27" spans="1:16" ht="15" customHeight="1" thickBot="1" x14ac:dyDescent="0.4">
      <c r="A27" t="s">
        <v>54</v>
      </c>
      <c r="B27" s="10">
        <v>136474</v>
      </c>
      <c r="C27" s="4"/>
      <c r="D27" s="4"/>
      <c r="E27" s="4" t="s">
        <v>55</v>
      </c>
      <c r="F27" s="4">
        <f>C4</f>
        <v>76441</v>
      </c>
      <c r="G27" s="4"/>
      <c r="K27" s="25">
        <v>1915831</v>
      </c>
    </row>
    <row r="28" spans="1:16" ht="15" customHeight="1" x14ac:dyDescent="0.35">
      <c r="A28" t="s">
        <v>56</v>
      </c>
      <c r="B28" s="26">
        <f>SUM(B23:B27)</f>
        <v>1255053</v>
      </c>
      <c r="C28" s="4"/>
      <c r="D28" s="4"/>
      <c r="E28" s="4" t="s">
        <v>21</v>
      </c>
      <c r="F28" s="4">
        <f>D26</f>
        <v>198674</v>
      </c>
      <c r="G28" s="4"/>
      <c r="K28" s="9"/>
    </row>
    <row r="29" spans="1:16" ht="15" customHeight="1" x14ac:dyDescent="0.35">
      <c r="B29" s="4"/>
      <c r="C29" s="4"/>
      <c r="D29" s="4"/>
      <c r="E29" s="4"/>
      <c r="F29" s="4"/>
      <c r="G29" s="27">
        <f>SUM(F22:F28)</f>
        <v>2575229</v>
      </c>
      <c r="N29" s="5"/>
    </row>
    <row r="30" spans="1:16" ht="15" customHeight="1" x14ac:dyDescent="0.35">
      <c r="A30" t="s">
        <v>57</v>
      </c>
      <c r="B30" s="4">
        <v>239332</v>
      </c>
      <c r="C30" s="4"/>
      <c r="D30" s="4"/>
      <c r="E30" s="4"/>
      <c r="F30" s="4"/>
      <c r="G30" s="4"/>
      <c r="K30" s="18">
        <f>+B11</f>
        <v>257264</v>
      </c>
      <c r="L30" s="5" t="s">
        <v>58</v>
      </c>
      <c r="N30" s="5"/>
    </row>
    <row r="31" spans="1:16" ht="15" customHeight="1" x14ac:dyDescent="0.35">
      <c r="A31" t="s">
        <v>59</v>
      </c>
      <c r="B31" s="10">
        <v>325029</v>
      </c>
      <c r="C31" s="4"/>
      <c r="D31" s="4"/>
      <c r="E31" s="4"/>
      <c r="F31" s="4"/>
      <c r="G31" s="4"/>
      <c r="K31" s="28">
        <f>+K12</f>
        <v>-22985</v>
      </c>
      <c r="L31" s="5" t="s">
        <v>60</v>
      </c>
      <c r="N31" s="5"/>
    </row>
    <row r="32" spans="1:16" ht="15" customHeight="1" x14ac:dyDescent="0.35">
      <c r="A32" t="s">
        <v>61</v>
      </c>
      <c r="B32" s="4">
        <f>SUM(B30:B31)</f>
        <v>564361</v>
      </c>
      <c r="C32" s="4"/>
      <c r="D32" s="4"/>
      <c r="E32" s="4"/>
      <c r="F32" s="4"/>
      <c r="G32" s="4"/>
      <c r="K32" s="7">
        <f>+K31+K30</f>
        <v>234279</v>
      </c>
      <c r="N32" s="5"/>
    </row>
    <row r="33" spans="1:14" ht="15" customHeight="1" x14ac:dyDescent="0.35">
      <c r="F33" s="4"/>
      <c r="N33" s="5"/>
    </row>
    <row r="34" spans="1:14" ht="15" customHeight="1" thickBot="1" x14ac:dyDescent="0.4">
      <c r="A34" t="s">
        <v>62</v>
      </c>
      <c r="B34" s="15">
        <f>B28+B32</f>
        <v>1819414</v>
      </c>
      <c r="K34" s="19">
        <v>635</v>
      </c>
    </row>
    <row r="35" spans="1:14" ht="15" customHeight="1" thickTop="1" x14ac:dyDescent="0.35">
      <c r="K35" s="19">
        <v>17326</v>
      </c>
    </row>
    <row r="36" spans="1:14" ht="15" customHeight="1" thickBot="1" x14ac:dyDescent="0.4">
      <c r="A36" t="s">
        <v>63</v>
      </c>
      <c r="B36" s="29">
        <f>+B18-B34</f>
        <v>-161190</v>
      </c>
      <c r="F36" s="29">
        <f>+F2-F21</f>
        <v>-161190</v>
      </c>
      <c r="K36" s="30">
        <v>124174</v>
      </c>
    </row>
    <row r="37" spans="1:14" ht="15" customHeight="1" thickTop="1" x14ac:dyDescent="0.35">
      <c r="K37" s="19">
        <v>7517</v>
      </c>
    </row>
    <row r="38" spans="1:14" ht="15" customHeight="1" thickBot="1" x14ac:dyDescent="0.4">
      <c r="K38" s="25">
        <f>+SUM(K35:K37)</f>
        <v>149017</v>
      </c>
    </row>
    <row r="39" spans="1:14" ht="15" customHeight="1" x14ac:dyDescent="0.35">
      <c r="K39" s="31"/>
    </row>
    <row r="40" spans="1:14" ht="15" customHeight="1" thickBot="1" x14ac:dyDescent="0.4">
      <c r="K40" s="13">
        <f>+K38+K34+K27+K18+K17</f>
        <v>2315664</v>
      </c>
    </row>
    <row r="41" spans="1:14" ht="15" customHeight="1" thickTop="1" x14ac:dyDescent="0.35">
      <c r="K41" s="7">
        <f>2315664</f>
        <v>2315664</v>
      </c>
    </row>
    <row r="42" spans="1:14" ht="15" customHeight="1" x14ac:dyDescent="0.35">
      <c r="K42" s="7">
        <f>2409044</f>
        <v>2409044</v>
      </c>
    </row>
    <row r="43" spans="1:14" ht="15" customHeight="1" x14ac:dyDescent="0.35">
      <c r="K43" s="7">
        <f>+K41-K42</f>
        <v>-93380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9f5bfb4-297f-4295-96ca-875793e350d2">
      <Terms xmlns="http://schemas.microsoft.com/office/infopath/2007/PartnerControls"/>
    </lcf76f155ced4ddcb4097134ff3c332f>
    <TaxCatchAll xmlns="766948a6-851a-4d0d-b18e-ca794d75188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8596B2E0FF3746B91301E9D5DC42F0" ma:contentTypeVersion="13" ma:contentTypeDescription="Create a new document." ma:contentTypeScope="" ma:versionID="f2bc1b7f824e1cac77608fb462195b74">
  <xsd:schema xmlns:xsd="http://www.w3.org/2001/XMLSchema" xmlns:xs="http://www.w3.org/2001/XMLSchema" xmlns:p="http://schemas.microsoft.com/office/2006/metadata/properties" xmlns:ns2="29f5bfb4-297f-4295-96ca-875793e350d2" xmlns:ns3="766948a6-851a-4d0d-b18e-ca794d751880" targetNamespace="http://schemas.microsoft.com/office/2006/metadata/properties" ma:root="true" ma:fieldsID="b526763bed0748c9bab924fc904f9c7d" ns2:_="" ns3:_="">
    <xsd:import namespace="29f5bfb4-297f-4295-96ca-875793e350d2"/>
    <xsd:import namespace="766948a6-851a-4d0d-b18e-ca794d7518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f5bfb4-297f-4295-96ca-875793e350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a3f727d-ffa3-40b8-9dd5-e8bf6550da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6948a6-851a-4d0d-b18e-ca794d75188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d0fe211a-8db7-4d8a-8652-f2f2c5adf8d5}" ma:internalName="TaxCatchAll" ma:showField="CatchAllData" ma:web="766948a6-851a-4d0d-b18e-ca794d7518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10F254-3EF7-4C37-A21F-DB0B9487EB06}">
  <ds:schemaRefs>
    <ds:schemaRef ds:uri="http://schemas.microsoft.com/office/2006/metadata/properties"/>
    <ds:schemaRef ds:uri="http://schemas.microsoft.com/office/infopath/2007/PartnerControls"/>
    <ds:schemaRef ds:uri="29f5bfb4-297f-4295-96ca-875793e350d2"/>
    <ds:schemaRef ds:uri="766948a6-851a-4d0d-b18e-ca794d751880"/>
  </ds:schemaRefs>
</ds:datastoreItem>
</file>

<file path=customXml/itemProps2.xml><?xml version="1.0" encoding="utf-8"?>
<ds:datastoreItem xmlns:ds="http://schemas.openxmlformats.org/officeDocument/2006/customXml" ds:itemID="{8C3FB58B-F2E6-4117-90CD-79B7F51D64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E0BC2F-2394-4D92-ACAC-B26826C9F2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f5bfb4-297f-4295-96ca-875793e350d2"/>
    <ds:schemaRef ds:uri="766948a6-851a-4d0d-b18e-ca794d7518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Presentation</vt:lpstr>
      <vt:lpstr>Audit</vt:lpstr>
      <vt:lpstr>Audit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Deena Harmon</dc:creator>
  <cp:lastModifiedBy>Jennifer Santore</cp:lastModifiedBy>
  <dcterms:created xsi:type="dcterms:W3CDTF">2024-09-26T16:20:28Z</dcterms:created>
  <dcterms:modified xsi:type="dcterms:W3CDTF">2025-07-28T13:49:39Z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0x0101008D8596B2E0FF3746B91301E9D5DC42F0</vt:lpwstr>
  </property>
</Properties>
</file>